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ocuments\MEGAsync\blog\"/>
    </mc:Choice>
  </mc:AlternateContent>
  <xr:revisionPtr revIDLastSave="0" documentId="13_ncr:1_{51DDFE15-CAA2-4AD5-9918-1C7BEF01CDE1}" xr6:coauthVersionLast="47" xr6:coauthVersionMax="47" xr10:uidLastSave="{00000000-0000-0000-0000-000000000000}"/>
  <bookViews>
    <workbookView xWindow="5085" yWindow="1410" windowWidth="20760" windowHeight="12540" xr2:uid="{8CEA2796-2D63-4478-8B21-CCA7A7D1DC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0" i="1" l="1"/>
  <c r="H9" i="1"/>
  <c r="H8" i="1"/>
  <c r="D8" i="1" s="1"/>
  <c r="G18" i="1"/>
  <c r="M18" i="1" s="1"/>
  <c r="E8" i="1" l="1"/>
  <c r="C8" i="1" s="1"/>
  <c r="D10" i="1"/>
  <c r="E9" i="1"/>
  <c r="H11" i="1"/>
  <c r="D9" i="1"/>
  <c r="E10" i="1"/>
  <c r="L13" i="1"/>
  <c r="L8" i="1"/>
  <c r="L9" i="1"/>
  <c r="L12" i="1"/>
  <c r="L10" i="1"/>
  <c r="L11" i="1"/>
  <c r="L14" i="1"/>
  <c r="H19" i="1" l="1"/>
  <c r="M21" i="1" s="1"/>
  <c r="G11" i="1"/>
  <c r="G10" i="1"/>
  <c r="G9" i="1"/>
  <c r="G8" i="1"/>
  <c r="H12" i="1"/>
  <c r="G12" i="1" s="1"/>
  <c r="M10" i="1"/>
  <c r="E11" i="1"/>
  <c r="K10" i="1"/>
  <c r="D11" i="1"/>
  <c r="C11" i="1" s="1"/>
  <c r="K11" i="1"/>
  <c r="K9" i="1"/>
  <c r="K8" i="1"/>
  <c r="M17" i="1"/>
  <c r="M19" i="1" s="1"/>
  <c r="M20" i="1" s="1"/>
  <c r="C9" i="1"/>
  <c r="C10" i="1"/>
  <c r="M9" i="1"/>
  <c r="M22" i="1" l="1"/>
  <c r="M23" i="1" s="1"/>
  <c r="E12" i="1"/>
  <c r="J12" i="1" s="1"/>
  <c r="N12" i="1" s="1"/>
  <c r="H13" i="1"/>
  <c r="G13" i="1" s="1"/>
  <c r="M8" i="1"/>
  <c r="M11" i="1"/>
  <c r="J8" i="1"/>
  <c r="J10" i="1"/>
  <c r="J9" i="1"/>
  <c r="N9" i="1" s="1"/>
  <c r="J11" i="1"/>
  <c r="N10" i="1"/>
  <c r="K13" i="1"/>
  <c r="K12" i="1"/>
  <c r="M12" i="1"/>
  <c r="D12" i="1"/>
  <c r="H14" i="1"/>
  <c r="G14" i="1" s="1"/>
  <c r="E13" i="1"/>
  <c r="D13" i="1"/>
  <c r="M13" i="1"/>
  <c r="C12" i="1"/>
  <c r="J13" i="1" l="1"/>
  <c r="C13" i="1"/>
  <c r="K14" i="1"/>
  <c r="N11" i="1"/>
  <c r="N8" i="1"/>
  <c r="N13" i="1"/>
  <c r="E14" i="1"/>
  <c r="D14" i="1"/>
  <c r="C14" i="1" s="1"/>
  <c r="M14" i="1"/>
  <c r="J14" i="1" l="1"/>
  <c r="N14" i="1"/>
</calcChain>
</file>

<file path=xl/sharedStrings.xml><?xml version="1.0" encoding="utf-8"?>
<sst xmlns="http://schemas.openxmlformats.org/spreadsheetml/2006/main" count="29" uniqueCount="29">
  <si>
    <t>Squeeth</t>
  </si>
  <si>
    <t>squeeth Notional</t>
  </si>
  <si>
    <t>liquidity</t>
  </si>
  <si>
    <t>Gamma</t>
  </si>
  <si>
    <t>squeeth Pos</t>
  </si>
  <si>
    <t>pLow</t>
  </si>
  <si>
    <t>Delta</t>
  </si>
  <si>
    <t>pHigh</t>
  </si>
  <si>
    <t>pCurrent</t>
  </si>
  <si>
    <t>prob</t>
  </si>
  <si>
    <t>price</t>
  </si>
  <si>
    <t>p Change</t>
  </si>
  <si>
    <t>uniswap delta</t>
  </si>
  <si>
    <t>squeeth delta hedge</t>
  </si>
  <si>
    <t>net pnl</t>
  </si>
  <si>
    <t>in pool</t>
  </si>
  <si>
    <t>USDC</t>
  </si>
  <si>
    <t>vToken</t>
  </si>
  <si>
    <t>Joseph Clark's table in https://medium.com/opyn/hedging-uniswap-v3-with-squeeth-bcaf1750ea11</t>
  </si>
  <si>
    <t>Uniswap LP</t>
  </si>
  <si>
    <t>squeeth</t>
  </si>
  <si>
    <t>LP Range</t>
  </si>
  <si>
    <t>PoolValue</t>
  </si>
  <si>
    <t>initial</t>
  </si>
  <si>
    <t>squeeth Position Delta</t>
  </si>
  <si>
    <t>squeeth Pos Value</t>
  </si>
  <si>
    <t>squeeth Pos Collateral</t>
  </si>
  <si>
    <t>squeeth Delta Notional</t>
  </si>
  <si>
    <t>squeeth Delta Collateral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</si>
</sst>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0.00000"/>
    <numFmt numFmtId="166" formatCode="#,##0.0;[Red]#,##0.0"/>
    <numFmt numFmtId="167" formatCode="#,##0.00000;[Red]#,##0.00000"/>
    <numFmt numFmtId="168" formatCode="#,##0.00;[Red]#,##0.00"/>
    <numFmt numFmtId="169" formatCode="0%;[Red]\-0%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right"/>
    </xf>
    <xf numFmtId="165" fontId="3" fillId="0" borderId="1" xfId="0" applyNumberFormat="1" applyFont="1" applyBorder="1"/>
    <xf numFmtId="166" fontId="3" fillId="0" borderId="2" xfId="0" applyNumberFormat="1" applyFont="1" applyBorder="1"/>
    <xf numFmtId="167" fontId="2" fillId="0" borderId="0" xfId="0" applyNumberFormat="1" applyFont="1"/>
    <xf numFmtId="165" fontId="2" fillId="0" borderId="3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168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8" fontId="3" fillId="0" borderId="0" xfId="0" applyNumberFormat="1" applyFont="1"/>
    <xf numFmtId="169" fontId="3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3" fillId="0" borderId="6" xfId="0" applyNumberFormat="1" applyFont="1" applyBorder="1"/>
    <xf numFmtId="168" fontId="3" fillId="0" borderId="7" xfId="0" applyNumberFormat="1" applyFont="1" applyBorder="1"/>
    <xf numFmtId="166" fontId="2" fillId="0" borderId="1" xfId="0" applyNumberFormat="1" applyFont="1" applyBorder="1"/>
    <xf numFmtId="166" fontId="2" fillId="0" borderId="6" xfId="0" applyNumberFormat="1" applyFont="1" applyBorder="1"/>
    <xf numFmtId="166" fontId="2" fillId="0" borderId="3" xfId="0" applyNumberFormat="1" applyFont="1" applyBorder="1"/>
    <xf numFmtId="164" fontId="2" fillId="0" borderId="0" xfId="0" applyNumberFormat="1" applyFont="1" applyBorder="1"/>
    <xf numFmtId="164" fontId="2" fillId="3" borderId="9" xfId="0" applyNumberFormat="1" applyFont="1" applyFill="1" applyBorder="1"/>
    <xf numFmtId="164" fontId="3" fillId="3" borderId="10" xfId="0" applyNumberFormat="1" applyFont="1" applyFill="1" applyBorder="1"/>
    <xf numFmtId="168" fontId="3" fillId="3" borderId="11" xfId="0" applyNumberFormat="1" applyFont="1" applyFill="1" applyBorder="1"/>
    <xf numFmtId="169" fontId="3" fillId="3" borderId="12" xfId="0" applyNumberFormat="1" applyFont="1" applyFill="1" applyBorder="1"/>
    <xf numFmtId="164" fontId="2" fillId="3" borderId="12" xfId="0" applyNumberFormat="1" applyFont="1" applyFill="1" applyBorder="1"/>
    <xf numFmtId="166" fontId="2" fillId="3" borderId="10" xfId="0" applyNumberFormat="1" applyFont="1" applyFill="1" applyBorder="1"/>
    <xf numFmtId="164" fontId="2" fillId="3" borderId="11" xfId="0" applyNumberFormat="1" applyFont="1" applyFill="1" applyBorder="1"/>
    <xf numFmtId="164" fontId="2" fillId="3" borderId="13" xfId="0" applyNumberFormat="1" applyFont="1" applyFill="1" applyBorder="1"/>
    <xf numFmtId="168" fontId="3" fillId="0" borderId="0" xfId="1" applyNumberFormat="1" applyFont="1" applyFill="1"/>
    <xf numFmtId="0" fontId="2" fillId="0" borderId="3" xfId="0" applyFont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D8B4-54B1-4FCF-B8D2-46B87F3FE02B}">
  <dimension ref="A1:P32"/>
  <sheetViews>
    <sheetView tabSelected="1" zoomScale="75" zoomScaleNormal="75" workbookViewId="0">
      <selection activeCell="C23" sqref="C23"/>
    </sheetView>
  </sheetViews>
  <sheetFormatPr defaultRowHeight="15" x14ac:dyDescent="0.25"/>
  <cols>
    <col min="10" max="10" width="11.7109375" bestFit="1" customWidth="1"/>
    <col min="11" max="11" width="14.42578125" customWidth="1"/>
    <col min="12" max="12" width="15.28515625" customWidth="1"/>
    <col min="13" max="13" width="19.5703125" bestFit="1" customWidth="1"/>
    <col min="14" max="14" width="11.140625" customWidth="1"/>
  </cols>
  <sheetData>
    <row r="1" spans="1:16" ht="15.75" thickBot="1" x14ac:dyDescent="0.3"/>
    <row r="2" spans="1:16" x14ac:dyDescent="0.25">
      <c r="B2" s="11"/>
      <c r="G2" s="20" t="s">
        <v>2</v>
      </c>
      <c r="H2" s="16">
        <v>1398.7</v>
      </c>
    </row>
    <row r="3" spans="1:16" x14ac:dyDescent="0.25">
      <c r="B3" s="13"/>
      <c r="G3" s="22" t="s">
        <v>5</v>
      </c>
      <c r="H3" s="17">
        <v>3747</v>
      </c>
    </row>
    <row r="4" spans="1:16" x14ac:dyDescent="0.25">
      <c r="B4" s="2"/>
      <c r="G4" s="22" t="s">
        <v>7</v>
      </c>
      <c r="H4" s="17">
        <v>5024</v>
      </c>
      <c r="L4" s="9" t="s">
        <v>18</v>
      </c>
    </row>
    <row r="5" spans="1:16" ht="15.75" thickBot="1" x14ac:dyDescent="0.3">
      <c r="B5" s="2"/>
      <c r="G5" s="39" t="s">
        <v>8</v>
      </c>
      <c r="H5" s="8">
        <v>4361</v>
      </c>
      <c r="O5" s="10"/>
    </row>
    <row r="6" spans="1:16" x14ac:dyDescent="0.25">
      <c r="D6" s="20" t="s">
        <v>15</v>
      </c>
      <c r="E6" s="21"/>
      <c r="L6" s="9"/>
      <c r="O6" s="10"/>
    </row>
    <row r="7" spans="1:16" ht="15.75" thickBot="1" x14ac:dyDescent="0.3">
      <c r="A7" s="1"/>
      <c r="B7" s="1"/>
      <c r="C7" s="1" t="s">
        <v>22</v>
      </c>
      <c r="D7" s="22" t="s">
        <v>16</v>
      </c>
      <c r="E7" s="23" t="s">
        <v>17</v>
      </c>
      <c r="F7" s="12" t="s">
        <v>9</v>
      </c>
      <c r="G7" s="12"/>
      <c r="H7" s="1" t="s">
        <v>10</v>
      </c>
      <c r="I7" s="1" t="s">
        <v>11</v>
      </c>
      <c r="J7" s="19" t="s">
        <v>19</v>
      </c>
      <c r="K7" s="1" t="s">
        <v>20</v>
      </c>
      <c r="L7" s="1" t="s">
        <v>12</v>
      </c>
      <c r="M7" s="1" t="s">
        <v>13</v>
      </c>
      <c r="N7" s="1" t="s">
        <v>14</v>
      </c>
      <c r="O7" s="10"/>
    </row>
    <row r="8" spans="1:16" x14ac:dyDescent="0.25">
      <c r="A8" s="10"/>
      <c r="B8" s="2"/>
      <c r="C8" s="2">
        <f>D8+E8*H8</f>
        <v>12511.841285764738</v>
      </c>
      <c r="D8" s="24">
        <f>$H$2*(SQRT(H8)-SQRT($H$3))</f>
        <v>3515.2577301683223</v>
      </c>
      <c r="E8" s="25">
        <f>$H$2*(1/SQRT(H8)-1/SQRT($H$4))</f>
        <v>2.2153616241311047</v>
      </c>
      <c r="F8" s="14">
        <v>7.4426358529748465E-2</v>
      </c>
      <c r="G8" s="14">
        <f>H8/H$11-1</f>
        <v>-6.8791561568447568E-2</v>
      </c>
      <c r="H8" s="2">
        <f>H$5+I8</f>
        <v>4061</v>
      </c>
      <c r="I8" s="2">
        <v>-300</v>
      </c>
      <c r="J8" s="26">
        <f>H8*E8+D8-C$11</f>
        <v>-547.29628527739624</v>
      </c>
      <c r="K8" s="15">
        <f>M$18*(H8^2-H$11^2)</f>
        <v>-3067.7639902684359</v>
      </c>
      <c r="L8" s="15">
        <f>-G$19*I8</f>
        <v>434.0910170591207</v>
      </c>
      <c r="M8" s="16">
        <f>-M$21*(H8-H$5)</f>
        <v>3177.0407887819165</v>
      </c>
      <c r="N8" s="16">
        <f>SUM(J8:M8)</f>
        <v>-3.928469704795134</v>
      </c>
      <c r="O8" s="10"/>
    </row>
    <row r="9" spans="1:16" x14ac:dyDescent="0.25">
      <c r="A9" s="10"/>
      <c r="B9" s="2"/>
      <c r="C9" s="2">
        <f>D9+E9*H9</f>
        <v>12720.029433553649</v>
      </c>
      <c r="D9" s="24">
        <f>$H$2*(SQRT(H9)-SQRT($H$3))</f>
        <v>4606.0168974802373</v>
      </c>
      <c r="E9" s="25">
        <f>$H$2*(1/SQRT(H9)-1/SQRT($H$4))</f>
        <v>1.9500150290971907</v>
      </c>
      <c r="F9" s="14">
        <v>0.11911924364394121</v>
      </c>
      <c r="G9" s="14">
        <f t="shared" ref="G9:G14" si="0">H9/H$11-1</f>
        <v>-4.5861041045631712E-2</v>
      </c>
      <c r="H9" s="2">
        <f>H$5+I9</f>
        <v>4161</v>
      </c>
      <c r="I9" s="2">
        <v>-200</v>
      </c>
      <c r="J9" s="27">
        <f t="shared" ref="J9:J14" si="1">H9*E9+D9-C$11</f>
        <v>-339.10813748848523</v>
      </c>
      <c r="K9" s="29">
        <f>M$18*(H9^2-H$11^2)</f>
        <v>-2069.4597265152861</v>
      </c>
      <c r="L9" s="29">
        <f>-G$19*I9</f>
        <v>289.39401137274712</v>
      </c>
      <c r="M9" s="17">
        <f>-M$21*(H9-H$5)</f>
        <v>2118.0271925212774</v>
      </c>
      <c r="N9" s="17">
        <f t="shared" ref="N9:N14" si="2">SUM(J9:M9)</f>
        <v>-1.1466601097467901</v>
      </c>
      <c r="O9" s="10"/>
    </row>
    <row r="10" spans="1:16" x14ac:dyDescent="0.25">
      <c r="A10" s="10"/>
      <c r="B10" s="2"/>
      <c r="C10" s="2">
        <f>D10+E10*H10</f>
        <v>12902.157461516217</v>
      </c>
      <c r="D10" s="24">
        <f>$H$2*(SQRT(H10)-SQRT($H$3))</f>
        <v>5683.7460048789744</v>
      </c>
      <c r="E10" s="25">
        <f>$H$2*(1/SQRT(H10)-1/SQRT($H$4))</f>
        <v>1.6940651153807189</v>
      </c>
      <c r="F10" s="14">
        <v>0.19186551194421639</v>
      </c>
      <c r="G10" s="14">
        <f t="shared" si="0"/>
        <v>-2.2930520522815856E-2</v>
      </c>
      <c r="H10" s="2">
        <f>H$5+I10</f>
        <v>4261</v>
      </c>
      <c r="I10" s="2">
        <v>-100</v>
      </c>
      <c r="J10" s="27">
        <f t="shared" si="1"/>
        <v>-156.98010952591721</v>
      </c>
      <c r="K10" s="29">
        <f>M$18*(H10^2-H$11^2)</f>
        <v>-1046.8717297591409</v>
      </c>
      <c r="L10" s="29">
        <f>-G$19*I10</f>
        <v>144.69700568637356</v>
      </c>
      <c r="M10" s="17">
        <f>-M$21*(H10-H$5)</f>
        <v>1059.0135962606387</v>
      </c>
      <c r="N10" s="17">
        <f t="shared" si="2"/>
        <v>-0.14123733804581207</v>
      </c>
      <c r="O10" s="10"/>
      <c r="P10" s="2"/>
    </row>
    <row r="11" spans="1:16" x14ac:dyDescent="0.25">
      <c r="A11" s="10"/>
      <c r="B11" s="2" t="s">
        <v>23</v>
      </c>
      <c r="C11" s="30">
        <f>D11+E11*H11</f>
        <v>13059.137571042134</v>
      </c>
      <c r="D11" s="31">
        <f>$H$2*(SQRT(H11)-SQRT($H$3))</f>
        <v>6748.9011530593843</v>
      </c>
      <c r="E11" s="32">
        <f>$H$2*(1/SQRT(H11)-1/SQRT($H$4))</f>
        <v>1.4469700568637356</v>
      </c>
      <c r="F11" s="33">
        <v>0.22490303780401533</v>
      </c>
      <c r="G11" s="33">
        <f t="shared" si="0"/>
        <v>0</v>
      </c>
      <c r="H11" s="34">
        <f>H10+100</f>
        <v>4361</v>
      </c>
      <c r="I11" s="34">
        <v>0</v>
      </c>
      <c r="J11" s="35">
        <f t="shared" si="1"/>
        <v>0</v>
      </c>
      <c r="K11" s="34">
        <f>M$18*(H11^2-H$11^2)</f>
        <v>0</v>
      </c>
      <c r="L11" s="34">
        <f>-G$19*I11</f>
        <v>0</v>
      </c>
      <c r="M11" s="36">
        <f>-M$21*(H11-H$5)</f>
        <v>0</v>
      </c>
      <c r="N11" s="37">
        <f t="shared" si="2"/>
        <v>0</v>
      </c>
      <c r="O11" s="10"/>
    </row>
    <row r="12" spans="1:16" x14ac:dyDescent="0.25">
      <c r="A12" s="10"/>
      <c r="B12" s="2"/>
      <c r="C12" s="2">
        <f>D12+E12*H12</f>
        <v>13191.829956275767</v>
      </c>
      <c r="D12" s="24">
        <f>$H$2*(SQRT(H12)-SQRT($H$3))</f>
        <v>7801.912439093664</v>
      </c>
      <c r="E12" s="25">
        <f>$H$2*(1/SQRT(H12)-1/SQRT($H$4))</f>
        <v>1.2082307817041251</v>
      </c>
      <c r="F12" s="14">
        <v>0.19186551194421642</v>
      </c>
      <c r="G12" s="14">
        <f t="shared" si="0"/>
        <v>2.2930520522815856E-2</v>
      </c>
      <c r="H12" s="2">
        <f t="shared" ref="H12:H14" si="3">H11+100</f>
        <v>4461</v>
      </c>
      <c r="I12" s="2">
        <v>100</v>
      </c>
      <c r="J12" s="27">
        <f t="shared" si="1"/>
        <v>132.6923852336331</v>
      </c>
      <c r="K12" s="29">
        <f>M$18*(H12^2-H$11^2)</f>
        <v>1071.1554627621365</v>
      </c>
      <c r="L12" s="29">
        <f>-G$19*I12</f>
        <v>-144.69700568637356</v>
      </c>
      <c r="M12" s="17">
        <f>-M$21*(H12-H$5)</f>
        <v>-1059.0135962606387</v>
      </c>
      <c r="N12" s="17">
        <f t="shared" si="2"/>
        <v>0.13724604875733348</v>
      </c>
      <c r="O12" s="10"/>
    </row>
    <row r="13" spans="1:16" x14ac:dyDescent="0.25">
      <c r="A13" s="10"/>
      <c r="B13" s="2"/>
      <c r="C13" s="2">
        <f>D13+E13*H13</f>
        <v>13301.04686292943</v>
      </c>
      <c r="D13" s="24">
        <f>$H$2*(SQRT(H13)-SQRT($H$3))</f>
        <v>8843.185985837943</v>
      </c>
      <c r="E13" s="25">
        <f>$H$2*(1/SQRT(H13)-1/SQRT($H$4))</f>
        <v>0.97738673034235601</v>
      </c>
      <c r="F13" s="14">
        <v>0.11911924364394122</v>
      </c>
      <c r="G13" s="14">
        <f t="shared" si="0"/>
        <v>4.5861041045631712E-2</v>
      </c>
      <c r="H13" s="2">
        <f t="shared" si="3"/>
        <v>4561</v>
      </c>
      <c r="I13" s="2">
        <v>200</v>
      </c>
      <c r="J13" s="27">
        <f t="shared" si="1"/>
        <v>241.90929188729569</v>
      </c>
      <c r="K13" s="29">
        <f>M$18*(H13^2-H$11^2)</f>
        <v>2166.5946585272686</v>
      </c>
      <c r="L13" s="29">
        <f>-G$19*I13</f>
        <v>-289.39401137274712</v>
      </c>
      <c r="M13" s="17">
        <f>-M$21*(H13-H$5)</f>
        <v>-2118.0271925212774</v>
      </c>
      <c r="N13" s="17">
        <f t="shared" si="2"/>
        <v>1.0827465205397857</v>
      </c>
      <c r="O13" s="10"/>
    </row>
    <row r="14" spans="1:16" ht="15.75" thickBot="1" x14ac:dyDescent="0.3">
      <c r="A14" s="10"/>
      <c r="B14" s="2"/>
      <c r="C14" s="2">
        <f>D14+E14*H14</f>
        <v>13387.556248689732</v>
      </c>
      <c r="D14" s="24">
        <f>$H$2*(SQRT(H14)-SQRT($H$3))</f>
        <v>9873.1057721355519</v>
      </c>
      <c r="E14" s="25">
        <f>$H$2*(1/SQRT(H14)-1/SQRT($H$4))</f>
        <v>0.75401211683204905</v>
      </c>
      <c r="F14" s="14">
        <v>7.4426358529748438E-2</v>
      </c>
      <c r="G14" s="14">
        <f t="shared" si="0"/>
        <v>6.8791561568447568E-2</v>
      </c>
      <c r="H14" s="2">
        <f t="shared" si="3"/>
        <v>4661</v>
      </c>
      <c r="I14" s="2">
        <v>300</v>
      </c>
      <c r="J14" s="28">
        <f t="shared" si="1"/>
        <v>328.41867764759809</v>
      </c>
      <c r="K14" s="18">
        <f>M$18*(H14^2-H$11^2)</f>
        <v>3286.3175872953966</v>
      </c>
      <c r="L14" s="18">
        <f>-G$19*I14</f>
        <v>-434.0910170591207</v>
      </c>
      <c r="M14" s="8">
        <f>-M$21*(H14-H$5)</f>
        <v>-3177.0407887819165</v>
      </c>
      <c r="N14" s="8">
        <f t="shared" si="2"/>
        <v>3.6044591019576728</v>
      </c>
      <c r="O14" s="10"/>
    </row>
    <row r="17" spans="6:13" ht="15.75" thickBot="1" x14ac:dyDescent="0.3">
      <c r="G17" s="1" t="s">
        <v>21</v>
      </c>
      <c r="H17" s="1" t="s">
        <v>0</v>
      </c>
      <c r="L17" s="3" t="s">
        <v>1</v>
      </c>
      <c r="M17" s="2">
        <f>H11^2</f>
        <v>19018321</v>
      </c>
    </row>
    <row r="18" spans="6:13" x14ac:dyDescent="0.25">
      <c r="F18" t="s">
        <v>3</v>
      </c>
      <c r="G18" s="4">
        <f>H2/(2*H5^1.5)</f>
        <v>2.4283733002995614E-3</v>
      </c>
      <c r="H18" s="5">
        <v>2</v>
      </c>
      <c r="L18" s="3" t="s">
        <v>4</v>
      </c>
      <c r="M18" s="6">
        <f>G18/H18</f>
        <v>1.2141866501497807E-3</v>
      </c>
    </row>
    <row r="19" spans="6:13" ht="15.75" thickBot="1" x14ac:dyDescent="0.3">
      <c r="F19" t="s">
        <v>6</v>
      </c>
      <c r="G19" s="7">
        <f>H2*(1/SQRT(H5)-1/SQRT(H4))</f>
        <v>1.4469700568637356</v>
      </c>
      <c r="H19" s="8">
        <f>2*H11</f>
        <v>8722</v>
      </c>
      <c r="L19" s="3" t="s">
        <v>25</v>
      </c>
      <c r="M19" s="2">
        <f>M18*M17</f>
        <v>23091.791466463226</v>
      </c>
    </row>
    <row r="20" spans="6:13" x14ac:dyDescent="0.25">
      <c r="J20" s="3"/>
      <c r="L20" s="3" t="s">
        <v>26</v>
      </c>
      <c r="M20" s="2">
        <f>M19*2</f>
        <v>46183.582932926452</v>
      </c>
    </row>
    <row r="21" spans="6:13" x14ac:dyDescent="0.25">
      <c r="J21" s="3"/>
      <c r="L21" s="3" t="s">
        <v>24</v>
      </c>
      <c r="M21" s="38">
        <f>M18*H19</f>
        <v>10.590135962606388</v>
      </c>
    </row>
    <row r="22" spans="6:13" x14ac:dyDescent="0.25">
      <c r="J22" s="3"/>
      <c r="L22" s="3" t="s">
        <v>27</v>
      </c>
      <c r="M22" s="2">
        <f>M21*H11</f>
        <v>46183.58293292646</v>
      </c>
    </row>
    <row r="23" spans="6:13" x14ac:dyDescent="0.25">
      <c r="J23" s="3"/>
      <c r="L23" s="3" t="s">
        <v>28</v>
      </c>
      <c r="M23" s="2">
        <f>M22/5</f>
        <v>9236.7165865852912</v>
      </c>
    </row>
    <row r="24" spans="6:13" x14ac:dyDescent="0.25">
      <c r="J24" s="3"/>
      <c r="L24" s="3"/>
      <c r="M24" s="2"/>
    </row>
    <row r="25" spans="6:13" x14ac:dyDescent="0.25">
      <c r="J25" s="3"/>
      <c r="L25" s="3"/>
      <c r="M25" s="2"/>
    </row>
    <row r="26" spans="6:13" x14ac:dyDescent="0.25">
      <c r="J26" s="3"/>
      <c r="L26" s="3"/>
    </row>
    <row r="27" spans="6:13" x14ac:dyDescent="0.25">
      <c r="J27" s="3"/>
      <c r="L27" s="3"/>
    </row>
    <row r="28" spans="6:13" x14ac:dyDescent="0.25">
      <c r="J28" s="3"/>
    </row>
    <row r="29" spans="6:13" x14ac:dyDescent="0.25">
      <c r="J29" s="3"/>
    </row>
    <row r="30" spans="6:13" x14ac:dyDescent="0.25">
      <c r="J30" s="3"/>
    </row>
    <row r="31" spans="6:13" x14ac:dyDescent="0.25">
      <c r="J31" s="3"/>
    </row>
    <row r="32" spans="6:13" x14ac:dyDescent="0.25">
      <c r="J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2022-06-16T13:44:59Z</dcterms:created>
  <dcterms:modified xsi:type="dcterms:W3CDTF">2022-06-16T17:00:42Z</dcterms:modified>
</cp:coreProperties>
</file>